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0" windowWidth="19815" windowHeight="10425" activeTab="2"/>
  </bookViews>
  <sheets>
    <sheet name="Сортамент" sheetId="1" r:id="rId1"/>
    <sheet name="Расчёт массы" sheetId="2" r:id="rId2"/>
    <sheet name="Смета" sheetId="3" r:id="rId3"/>
    <sheet name="Рыночные цены" sheetId="4" r:id="rId4"/>
  </sheets>
  <calcPr calcId="124519"/>
</workbook>
</file>

<file path=xl/calcChain.xml><?xml version="1.0" encoding="utf-8"?>
<calcChain xmlns="http://schemas.openxmlformats.org/spreadsheetml/2006/main">
  <c r="G22" i="3"/>
  <c r="G31"/>
  <c r="E28"/>
  <c r="E27"/>
  <c r="E26"/>
  <c r="E25"/>
  <c r="G23"/>
  <c r="E22"/>
  <c r="F21"/>
  <c r="F20"/>
  <c r="F19"/>
  <c r="G9" i="2"/>
  <c r="H9" s="1"/>
  <c r="H8"/>
  <c r="G8"/>
  <c r="H7"/>
  <c r="G7"/>
  <c r="H6"/>
  <c r="G6"/>
  <c r="G5"/>
  <c r="H5" s="1"/>
  <c r="H10" s="1"/>
  <c r="H12" s="1"/>
  <c r="F5" i="3" s="1"/>
  <c r="H4" i="2"/>
  <c r="G4"/>
  <c r="G10" s="1"/>
  <c r="E19" i="3" l="1"/>
  <c r="G19" s="1"/>
  <c r="E20"/>
  <c r="G20" s="1"/>
  <c r="G25" s="1"/>
  <c r="E21"/>
  <c r="G21" s="1"/>
  <c r="G24" l="1"/>
  <c r="G27"/>
  <c r="G26"/>
  <c r="G28" l="1"/>
  <c r="G30" s="1"/>
  <c r="G32" l="1"/>
</calcChain>
</file>

<file path=xl/sharedStrings.xml><?xml version="1.0" encoding="utf-8"?>
<sst xmlns="http://schemas.openxmlformats.org/spreadsheetml/2006/main" count="156" uniqueCount="120">
  <si>
    <t>СПРАВОЧНИК СОРТАМЕНТА МЕТАЛЛОПРОКАТА (масса 1 п.м., кг)</t>
  </si>
  <si>
    <t>Профиль</t>
  </si>
  <si>
    <t>Типоразмер</t>
  </si>
  <si>
    <t>Масса 1 м.п., кг</t>
  </si>
  <si>
    <t>Ед. изм.</t>
  </si>
  <si>
    <t>Двутавр</t>
  </si>
  <si>
    <t>20Б1</t>
  </si>
  <si>
    <t>кг/м</t>
  </si>
  <si>
    <t>30Б1</t>
  </si>
  <si>
    <t>40Б1</t>
  </si>
  <si>
    <t>Швеллер</t>
  </si>
  <si>
    <t>10П</t>
  </si>
  <si>
    <t>16П</t>
  </si>
  <si>
    <t>20П</t>
  </si>
  <si>
    <t>Уголок равнополочный</t>
  </si>
  <si>
    <t>50x50x5</t>
  </si>
  <si>
    <t>75x75x6</t>
  </si>
  <si>
    <t>100x100x8</t>
  </si>
  <si>
    <t>Лист стальной</t>
  </si>
  <si>
    <t>толщина 5 мм (за м²)</t>
  </si>
  <si>
    <t>кг/м²</t>
  </si>
  <si>
    <t>толщина 8 мм (за м²)</t>
  </si>
  <si>
    <t>толщина 10 мм (за м²)</t>
  </si>
  <si>
    <t>Труба профильная</t>
  </si>
  <si>
    <t>60x60x3</t>
  </si>
  <si>
    <t>80x80x4</t>
  </si>
  <si>
    <t>Труба круглая</t>
  </si>
  <si>
    <t>108x4</t>
  </si>
  <si>
    <t>Примечание: плотность стали ρ = 7850 кг/м³. Массу нестандартного профиля считайте как ρ × площадь сечения × длину.</t>
  </si>
  <si>
    <t>СПЕЦИФИКАЦИЯ И РАСЧЁТ МАССЫ МЕТАЛЛОКОНСТРУКЦИЙ</t>
  </si>
  <si>
    <t>№</t>
  </si>
  <si>
    <t>Наименование элемента</t>
  </si>
  <si>
    <t>Профиль/марка</t>
  </si>
  <si>
    <t>Длина, м</t>
  </si>
  <si>
    <t>Кол-во, шт</t>
  </si>
  <si>
    <t>Масса общая, кг</t>
  </si>
  <si>
    <t>Масса общая, т</t>
  </si>
  <si>
    <t>Колонна</t>
  </si>
  <si>
    <t>Двутавр 30Б1</t>
  </si>
  <si>
    <t>Балка перекрытия</t>
  </si>
  <si>
    <t>Двутавр 20Б1</t>
  </si>
  <si>
    <t>Ферма стропильная</t>
  </si>
  <si>
    <t>Уголок 100x100x8</t>
  </si>
  <si>
    <t>Связи вертикальные</t>
  </si>
  <si>
    <t>Уголок 75x75x6</t>
  </si>
  <si>
    <t>Прогон кровельный</t>
  </si>
  <si>
    <t>Швеллер 16П</t>
  </si>
  <si>
    <t>Балка подкрановая</t>
  </si>
  <si>
    <t>Двутавр 40Б1</t>
  </si>
  <si>
    <t>ИТОГО (нетто)</t>
  </si>
  <si>
    <t>Запас на отходы/усиления, %</t>
  </si>
  <si>
    <t>ИТОГО (брутто, с запасом), т</t>
  </si>
  <si>
    <t>СМЕТА НА ИЗГОТОВЛЕНИЕ И МОНТАЖ МЕТАЛЛОКОНСТРУКЦИЙ</t>
  </si>
  <si>
    <t>Объект: ___________________   Дата: ___________</t>
  </si>
  <si>
    <t>ИСХОДНЫЕ ДАННЫЕ</t>
  </si>
  <si>
    <t>Масса конструкций (брутто), т</t>
  </si>
  <si>
    <t>Цена металлопроката, руб/т</t>
  </si>
  <si>
    <t>Стоимость изготовления (передел), руб/т</t>
  </si>
  <si>
    <t>Стоимость монтажа, руб/т</t>
  </si>
  <si>
    <t>Окраска (% от материалов+изготовления)</t>
  </si>
  <si>
    <t>Транспортировка, руб (фикс.)</t>
  </si>
  <si>
    <t>Накладные расходы, % от ФОТ работ</t>
  </si>
  <si>
    <t>Сметная прибыль, % от ФОТ работ</t>
  </si>
  <si>
    <t>Доля ФОТ в изготовлении+монтаже, %</t>
  </si>
  <si>
    <t>НДС, %</t>
  </si>
  <si>
    <t>Проектирование (КМ+КМД), % от прямых затрат</t>
  </si>
  <si>
    <t>РАСЧЁТ СМЕТНОЙ СТОИМОСТИ</t>
  </si>
  <si>
    <t>Статья затрат</t>
  </si>
  <si>
    <t>Формула/база</t>
  </si>
  <si>
    <t>Ед.</t>
  </si>
  <si>
    <t>Кол-во</t>
  </si>
  <si>
    <t>Цена за ед., руб</t>
  </si>
  <si>
    <t>Сумма, руб</t>
  </si>
  <si>
    <t>Металлопрокат (материалы)</t>
  </si>
  <si>
    <t>Масса × цена проката</t>
  </si>
  <si>
    <t>т</t>
  </si>
  <si>
    <t>Изготовление конструкций</t>
  </si>
  <si>
    <t>Масса × ставка изготовления</t>
  </si>
  <si>
    <t>Монтаж на объекте</t>
  </si>
  <si>
    <t>Масса × ставка монтажа</t>
  </si>
  <si>
    <t>Антикоррозийная окраска</t>
  </si>
  <si>
    <t>% от (материалы+изготовление)</t>
  </si>
  <si>
    <t>%</t>
  </si>
  <si>
    <t>—</t>
  </si>
  <si>
    <t>Транспортировка</t>
  </si>
  <si>
    <t>Фиксированная сумма</t>
  </si>
  <si>
    <t>Прямые затраты, итого</t>
  </si>
  <si>
    <t>ФОТ (база для накл./прибыли)</t>
  </si>
  <si>
    <t>% от (изготовление+монтаж)</t>
  </si>
  <si>
    <t>Накладные расходы</t>
  </si>
  <si>
    <t>% от ФОТ</t>
  </si>
  <si>
    <t>Сметная прибыль</t>
  </si>
  <si>
    <t>Проектирование (КМ+КМД)</t>
  </si>
  <si>
    <t>% от прямых затрат</t>
  </si>
  <si>
    <t>ИТОГО СМЕТНАЯ СТОИМОСТЬ (без НДС)</t>
  </si>
  <si>
    <t>НДС</t>
  </si>
  <si>
    <t>ИТОГО К ОПЛАТЕ (с НДС)</t>
  </si>
  <si>
    <t>ОРИЕНТИРОВОЧНЫЕ РЫНОЧНЫЕ ЦЕНЫ НА МЕТАЛЛОКОНСТРУКЦИИ (2025–2026)</t>
  </si>
  <si>
    <t>Параметр</t>
  </si>
  <si>
    <t>Цена, руб/т</t>
  </si>
  <si>
    <t>Примечание</t>
  </si>
  <si>
    <t>Металлопрокат (чёрный)</t>
  </si>
  <si>
    <t>от 78 000</t>
  </si>
  <si>
    <t>Цена сырья, базовый показатель</t>
  </si>
  <si>
    <t>Изготовление (передел, без металла)</t>
  </si>
  <si>
    <t>≈ 90 000 (в среднем)</t>
  </si>
  <si>
    <t>Только работа цеха, без стоимости металла</t>
  </si>
  <si>
    <t>Изготовление «под ключ» (с материалом)</t>
  </si>
  <si>
    <t>от 165 000</t>
  </si>
  <si>
    <t>Металл + изготовление вместе</t>
  </si>
  <si>
    <t>Монтаж каркаса здания</t>
  </si>
  <si>
    <t>42 000 – 48 000</t>
  </si>
  <si>
    <t>Стандартный каркас, типовой объект</t>
  </si>
  <si>
    <t>Монтаж промышленных конструкций</t>
  </si>
  <si>
    <t>50 000 – 60 000</t>
  </si>
  <si>
    <t>Сложные/тяжёлые промышленные объекты</t>
  </si>
  <si>
    <t>Проектирование (КМ + КМД)</t>
  </si>
  <si>
    <t>5–10% от стоимости</t>
  </si>
  <si>
    <t>Считается от общей стоимости конструкций</t>
  </si>
  <si>
    <t>Цены актуализированы на 2025–2026 гг. Обновляйте перед расчётом сметы.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</si>
</sst>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9">
    <font>
      <sz val="11"/>
      <color theme="1"/>
      <name val="Calibri"/>
      <family val="2"/>
      <scheme val="minor"/>
    </font>
    <font>
      <b/>
      <sz val="14"/>
      <color rgb="FF1F2A44"/>
      <name val="Calibri"/>
    </font>
    <font>
      <b/>
      <sz val="11"/>
      <color rgb="FFFFFFFF"/>
      <name val="Calibri"/>
    </font>
    <font>
      <i/>
      <sz val="9"/>
      <color rgb="FF666666"/>
      <name val="Calibri"/>
    </font>
    <font>
      <b/>
      <sz val="11"/>
      <name val="Calibri"/>
    </font>
    <font>
      <b/>
      <sz val="15"/>
      <color rgb="FF1F2A44"/>
      <name val="Calibri"/>
    </font>
    <font>
      <i/>
      <sz val="10"/>
      <color rgb="FF666666"/>
      <name val="Calibri"/>
    </font>
    <font>
      <b/>
      <sz val="11"/>
      <name val="Calibri"/>
    </font>
    <font>
      <b/>
      <sz val="13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2A44"/>
        <bgColor rgb="FF1F2A44"/>
      </patternFill>
    </fill>
    <fill>
      <patternFill patternType="solid">
        <fgColor rgb="FFF5F7FA"/>
        <bgColor rgb="FFF5F7FA"/>
      </patternFill>
    </fill>
    <fill>
      <patternFill patternType="solid">
        <fgColor rgb="FFD9E2F3"/>
        <bgColor rgb="FFD9E2F3"/>
      </patternFill>
    </fill>
    <fill>
      <patternFill patternType="solid">
        <fgColor rgb="FFFFF2CC"/>
        <bgColor rgb="FFFFF2CC"/>
      </patternFill>
    </fill>
    <fill>
      <patternFill patternType="solid">
        <fgColor rgb="FF4A5C82"/>
        <bgColor rgb="FF4A5C82"/>
      </patternFill>
    </fill>
  </fills>
  <borders count="2">
    <border>
      <left/>
      <right/>
      <top/>
      <bottom/>
      <diagonal/>
    </border>
    <border>
      <left style="thin">
        <color rgb="FFB7BFCB"/>
      </left>
      <right style="thin">
        <color rgb="FFB7BFCB"/>
      </right>
      <top style="thin">
        <color rgb="FFB7BFCB"/>
      </top>
      <bottom style="thin">
        <color rgb="FFB7BFC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4" fillId="4" borderId="1" xfId="0" applyNumberFormat="1" applyFont="1" applyFill="1" applyBorder="1"/>
    <xf numFmtId="164" fontId="4" fillId="4" borderId="1" xfId="0" applyNumberFormat="1" applyFont="1" applyFill="1" applyBorder="1"/>
    <xf numFmtId="0" fontId="0" fillId="5" borderId="0" xfId="0" applyFill="1"/>
    <xf numFmtId="1" fontId="0" fillId="0" borderId="1" xfId="0" applyNumberFormat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/>
    <xf numFmtId="3" fontId="0" fillId="0" borderId="1" xfId="0" applyNumberFormat="1" applyBorder="1"/>
    <xf numFmtId="3" fontId="8" fillId="2" borderId="1" xfId="0" applyNumberFormat="1" applyFont="1" applyFill="1" applyBorder="1"/>
    <xf numFmtId="0" fontId="1" fillId="0" borderId="0" xfId="0" applyFont="1"/>
    <xf numFmtId="0" fontId="0" fillId="0" borderId="0" xfId="0"/>
    <xf numFmtId="0" fontId="3" fillId="0" borderId="0" xfId="0" applyFont="1"/>
    <xf numFmtId="0" fontId="4" fillId="4" borderId="1" xfId="0" applyFont="1" applyFill="1" applyBorder="1"/>
    <xf numFmtId="0" fontId="2" fillId="6" borderId="0" xfId="0" applyFont="1" applyFill="1"/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5" fillId="0" borderId="0" xfId="0" applyFont="1"/>
    <xf numFmtId="0" fontId="7" fillId="4" borderId="1" xfId="0" applyFont="1" applyFill="1" applyBorder="1"/>
    <xf numFmtId="0" fontId="4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/>
    <xf numFmtId="0" fontId="8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showGridLines="0" workbookViewId="0">
      <selection sqref="A1:D1"/>
    </sheetView>
  </sheetViews>
  <sheetFormatPr defaultRowHeight="15"/>
  <cols>
    <col min="1" max="2" width="24" customWidth="1"/>
    <col min="3" max="3" width="16" customWidth="1"/>
    <col min="4" max="4" width="12" customWidth="1"/>
  </cols>
  <sheetData>
    <row r="1" spans="1:4" ht="18.75">
      <c r="A1" s="22" t="s">
        <v>0</v>
      </c>
      <c r="B1" s="23"/>
      <c r="C1" s="23"/>
      <c r="D1" s="23"/>
    </row>
    <row r="3" spans="1:4">
      <c r="A3" s="1" t="s">
        <v>1</v>
      </c>
      <c r="B3" s="1" t="s">
        <v>2</v>
      </c>
      <c r="C3" s="1" t="s">
        <v>3</v>
      </c>
      <c r="D3" s="1" t="s">
        <v>4</v>
      </c>
    </row>
    <row r="4" spans="1:4">
      <c r="A4" s="2" t="s">
        <v>5</v>
      </c>
      <c r="B4" s="2" t="s">
        <v>6</v>
      </c>
      <c r="C4" s="3">
        <v>18.399999999999999</v>
      </c>
      <c r="D4" s="3" t="s">
        <v>7</v>
      </c>
    </row>
    <row r="5" spans="1:4">
      <c r="A5" s="4" t="s">
        <v>5</v>
      </c>
      <c r="B5" s="4" t="s">
        <v>8</v>
      </c>
      <c r="C5" s="5">
        <v>27.9</v>
      </c>
      <c r="D5" s="5" t="s">
        <v>7</v>
      </c>
    </row>
    <row r="6" spans="1:4">
      <c r="A6" s="2" t="s">
        <v>5</v>
      </c>
      <c r="B6" s="2" t="s">
        <v>9</v>
      </c>
      <c r="C6" s="3">
        <v>42.9</v>
      </c>
      <c r="D6" s="3" t="s">
        <v>7</v>
      </c>
    </row>
    <row r="7" spans="1:4">
      <c r="A7" s="4" t="s">
        <v>10</v>
      </c>
      <c r="B7" s="4" t="s">
        <v>11</v>
      </c>
      <c r="C7" s="5">
        <v>8.59</v>
      </c>
      <c r="D7" s="5" t="s">
        <v>7</v>
      </c>
    </row>
    <row r="8" spans="1:4">
      <c r="A8" s="2" t="s">
        <v>10</v>
      </c>
      <c r="B8" s="2" t="s">
        <v>12</v>
      </c>
      <c r="C8" s="3">
        <v>14.2</v>
      </c>
      <c r="D8" s="3" t="s">
        <v>7</v>
      </c>
    </row>
    <row r="9" spans="1:4">
      <c r="A9" s="4" t="s">
        <v>10</v>
      </c>
      <c r="B9" s="4" t="s">
        <v>13</v>
      </c>
      <c r="C9" s="5">
        <v>18.399999999999999</v>
      </c>
      <c r="D9" s="5" t="s">
        <v>7</v>
      </c>
    </row>
    <row r="10" spans="1:4">
      <c r="A10" s="2" t="s">
        <v>14</v>
      </c>
      <c r="B10" s="2" t="s">
        <v>15</v>
      </c>
      <c r="C10" s="3">
        <v>3.77</v>
      </c>
      <c r="D10" s="3" t="s">
        <v>7</v>
      </c>
    </row>
    <row r="11" spans="1:4">
      <c r="A11" s="4" t="s">
        <v>14</v>
      </c>
      <c r="B11" s="4" t="s">
        <v>16</v>
      </c>
      <c r="C11" s="5">
        <v>6.89</v>
      </c>
      <c r="D11" s="5" t="s">
        <v>7</v>
      </c>
    </row>
    <row r="12" spans="1:4">
      <c r="A12" s="2" t="s">
        <v>14</v>
      </c>
      <c r="B12" s="2" t="s">
        <v>17</v>
      </c>
      <c r="C12" s="3">
        <v>12.5</v>
      </c>
      <c r="D12" s="3" t="s">
        <v>7</v>
      </c>
    </row>
    <row r="13" spans="1:4">
      <c r="A13" s="4" t="s">
        <v>18</v>
      </c>
      <c r="B13" s="4" t="s">
        <v>19</v>
      </c>
      <c r="C13" s="5">
        <v>39.25</v>
      </c>
      <c r="D13" s="5" t="s">
        <v>20</v>
      </c>
    </row>
    <row r="14" spans="1:4">
      <c r="A14" s="2" t="s">
        <v>18</v>
      </c>
      <c r="B14" s="2" t="s">
        <v>21</v>
      </c>
      <c r="C14" s="3">
        <v>62.8</v>
      </c>
      <c r="D14" s="3" t="s">
        <v>20</v>
      </c>
    </row>
    <row r="15" spans="1:4">
      <c r="A15" s="4" t="s">
        <v>18</v>
      </c>
      <c r="B15" s="4" t="s">
        <v>22</v>
      </c>
      <c r="C15" s="5">
        <v>78.5</v>
      </c>
      <c r="D15" s="5" t="s">
        <v>20</v>
      </c>
    </row>
    <row r="16" spans="1:4">
      <c r="A16" s="2" t="s">
        <v>23</v>
      </c>
      <c r="B16" s="2" t="s">
        <v>24</v>
      </c>
      <c r="C16" s="3">
        <v>5.32</v>
      </c>
      <c r="D16" s="3" t="s">
        <v>7</v>
      </c>
    </row>
    <row r="17" spans="1:4">
      <c r="A17" s="4" t="s">
        <v>23</v>
      </c>
      <c r="B17" s="4" t="s">
        <v>25</v>
      </c>
      <c r="C17" s="5">
        <v>9.6</v>
      </c>
      <c r="D17" s="5" t="s">
        <v>7</v>
      </c>
    </row>
    <row r="18" spans="1:4">
      <c r="A18" s="2" t="s">
        <v>26</v>
      </c>
      <c r="B18" s="2" t="s">
        <v>27</v>
      </c>
      <c r="C18" s="3">
        <v>10.26</v>
      </c>
      <c r="D18" s="3" t="s">
        <v>7</v>
      </c>
    </row>
    <row r="20" spans="1:4">
      <c r="A20" s="24" t="s">
        <v>28</v>
      </c>
      <c r="B20" s="23"/>
      <c r="C20" s="23"/>
      <c r="D20" s="23"/>
    </row>
  </sheetData>
  <mergeCells count="2">
    <mergeCell ref="A1:D1"/>
    <mergeCell ref="A20:D2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2"/>
  <sheetViews>
    <sheetView showGridLines="0" workbookViewId="0">
      <selection sqref="A1:H1"/>
    </sheetView>
  </sheetViews>
  <sheetFormatPr defaultRowHeight="15"/>
  <cols>
    <col min="1" max="1" width="5" customWidth="1"/>
    <col min="2" max="2" width="26" customWidth="1"/>
    <col min="3" max="3" width="22" customWidth="1"/>
    <col min="4" max="5" width="11" customWidth="1"/>
    <col min="6" max="7" width="15" customWidth="1"/>
    <col min="8" max="8" width="13" customWidth="1"/>
  </cols>
  <sheetData>
    <row r="1" spans="1:8" ht="18.75">
      <c r="A1" s="22" t="s">
        <v>29</v>
      </c>
      <c r="B1" s="23"/>
      <c r="C1" s="23"/>
      <c r="D1" s="23"/>
      <c r="E1" s="23"/>
      <c r="F1" s="23"/>
      <c r="G1" s="23"/>
      <c r="H1" s="23"/>
    </row>
    <row r="3" spans="1:8" ht="30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</v>
      </c>
      <c r="G3" s="1" t="s">
        <v>35</v>
      </c>
      <c r="H3" s="1" t="s">
        <v>36</v>
      </c>
    </row>
    <row r="4" spans="1:8">
      <c r="A4" s="5">
        <v>1</v>
      </c>
      <c r="B4" s="4" t="s">
        <v>37</v>
      </c>
      <c r="C4" s="4" t="s">
        <v>38</v>
      </c>
      <c r="D4" s="5">
        <v>6</v>
      </c>
      <c r="E4" s="5">
        <v>8</v>
      </c>
      <c r="F4" s="5">
        <v>27.9</v>
      </c>
      <c r="G4" s="6">
        <f t="shared" ref="G4:G9" si="0">D4*E4*F4</f>
        <v>1339.1999999999998</v>
      </c>
      <c r="H4" s="7">
        <f t="shared" ref="H4:H9" si="1">G4/1000</f>
        <v>1.3391999999999997</v>
      </c>
    </row>
    <row r="5" spans="1:8">
      <c r="A5" s="3">
        <v>2</v>
      </c>
      <c r="B5" s="2" t="s">
        <v>39</v>
      </c>
      <c r="C5" s="2" t="s">
        <v>40</v>
      </c>
      <c r="D5" s="3">
        <v>6</v>
      </c>
      <c r="E5" s="3">
        <v>12</v>
      </c>
      <c r="F5" s="3">
        <v>18.399999999999999</v>
      </c>
      <c r="G5" s="8">
        <f t="shared" si="0"/>
        <v>1324.8</v>
      </c>
      <c r="H5" s="9">
        <f t="shared" si="1"/>
        <v>1.3248</v>
      </c>
    </row>
    <row r="6" spans="1:8">
      <c r="A6" s="5">
        <v>3</v>
      </c>
      <c r="B6" s="4" t="s">
        <v>41</v>
      </c>
      <c r="C6" s="4" t="s">
        <v>42</v>
      </c>
      <c r="D6" s="5">
        <v>12</v>
      </c>
      <c r="E6" s="5">
        <v>6</v>
      </c>
      <c r="F6" s="5">
        <v>12.5</v>
      </c>
      <c r="G6" s="6">
        <f t="shared" si="0"/>
        <v>900</v>
      </c>
      <c r="H6" s="7">
        <f t="shared" si="1"/>
        <v>0.9</v>
      </c>
    </row>
    <row r="7" spans="1:8">
      <c r="A7" s="3">
        <v>4</v>
      </c>
      <c r="B7" s="2" t="s">
        <v>43</v>
      </c>
      <c r="C7" s="2" t="s">
        <v>44</v>
      </c>
      <c r="D7" s="3">
        <v>4.5</v>
      </c>
      <c r="E7" s="3">
        <v>16</v>
      </c>
      <c r="F7" s="3">
        <v>6.89</v>
      </c>
      <c r="G7" s="8">
        <f t="shared" si="0"/>
        <v>496.08</v>
      </c>
      <c r="H7" s="9">
        <f t="shared" si="1"/>
        <v>0.49607999999999997</v>
      </c>
    </row>
    <row r="8" spans="1:8">
      <c r="A8" s="5">
        <v>5</v>
      </c>
      <c r="B8" s="4" t="s">
        <v>45</v>
      </c>
      <c r="C8" s="4" t="s">
        <v>46</v>
      </c>
      <c r="D8" s="5">
        <v>6</v>
      </c>
      <c r="E8" s="5">
        <v>20</v>
      </c>
      <c r="F8" s="5">
        <v>14.2</v>
      </c>
      <c r="G8" s="6">
        <f t="shared" si="0"/>
        <v>1704</v>
      </c>
      <c r="H8" s="7">
        <f t="shared" si="1"/>
        <v>1.704</v>
      </c>
    </row>
    <row r="9" spans="1:8">
      <c r="A9" s="3">
        <v>6</v>
      </c>
      <c r="B9" s="2" t="s">
        <v>47</v>
      </c>
      <c r="C9" s="2" t="s">
        <v>48</v>
      </c>
      <c r="D9" s="3">
        <v>6</v>
      </c>
      <c r="E9" s="3">
        <v>4</v>
      </c>
      <c r="F9" s="3">
        <v>42.9</v>
      </c>
      <c r="G9" s="8">
        <f t="shared" si="0"/>
        <v>1029.5999999999999</v>
      </c>
      <c r="H9" s="9">
        <f t="shared" si="1"/>
        <v>1.0295999999999998</v>
      </c>
    </row>
    <row r="10" spans="1:8">
      <c r="B10" s="25" t="s">
        <v>49</v>
      </c>
      <c r="C10" s="23"/>
      <c r="D10" s="23"/>
      <c r="E10" s="23"/>
      <c r="F10" s="23"/>
      <c r="G10" s="10">
        <f>SUM(G4:G9)</f>
        <v>6793.68</v>
      </c>
      <c r="H10" s="11">
        <f>SUM(H4:H9)</f>
        <v>6.7936799999999984</v>
      </c>
    </row>
    <row r="11" spans="1:8">
      <c r="B11" s="23" t="s">
        <v>50</v>
      </c>
      <c r="C11" s="23"/>
      <c r="D11" s="23"/>
      <c r="E11" s="23"/>
      <c r="F11" s="23"/>
      <c r="G11" s="12">
        <v>3</v>
      </c>
    </row>
    <row r="12" spans="1:8">
      <c r="B12" s="25" t="s">
        <v>51</v>
      </c>
      <c r="C12" s="23"/>
      <c r="D12" s="23"/>
      <c r="E12" s="23"/>
      <c r="F12" s="23"/>
      <c r="H12" s="11">
        <f>H10*(1+G11/100)</f>
        <v>6.9974903999999984</v>
      </c>
    </row>
  </sheetData>
  <mergeCells count="4">
    <mergeCell ref="B10:F10"/>
    <mergeCell ref="B11:F11"/>
    <mergeCell ref="B12:F12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2"/>
  <sheetViews>
    <sheetView showGridLines="0" tabSelected="1" workbookViewId="0">
      <selection activeCell="G24" sqref="G24"/>
    </sheetView>
  </sheetViews>
  <sheetFormatPr defaultRowHeight="15"/>
  <cols>
    <col min="1" max="1" width="4" customWidth="1"/>
    <col min="2" max="2" width="32" customWidth="1"/>
    <col min="3" max="3" width="30" customWidth="1"/>
    <col min="4" max="4" width="6" customWidth="1"/>
    <col min="5" max="5" width="12" customWidth="1"/>
    <col min="6" max="7" width="16" customWidth="1"/>
  </cols>
  <sheetData>
    <row r="1" spans="1:7" ht="19.5">
      <c r="A1" s="29" t="s">
        <v>52</v>
      </c>
      <c r="B1" s="23"/>
      <c r="C1" s="23"/>
      <c r="D1" s="23"/>
      <c r="E1" s="23"/>
      <c r="F1" s="23"/>
      <c r="G1" s="23"/>
    </row>
    <row r="2" spans="1:7">
      <c r="A2" s="33" t="s">
        <v>53</v>
      </c>
      <c r="B2" s="23"/>
      <c r="C2" s="23"/>
      <c r="D2" s="23"/>
      <c r="E2" s="23"/>
      <c r="F2" s="23"/>
      <c r="G2" s="23"/>
    </row>
    <row r="4" spans="1:7">
      <c r="A4" s="26" t="s">
        <v>54</v>
      </c>
      <c r="B4" s="23"/>
      <c r="C4" s="23"/>
      <c r="D4" s="23"/>
      <c r="E4" s="23"/>
      <c r="F4" s="23"/>
      <c r="G4" s="23"/>
    </row>
    <row r="5" spans="1:7">
      <c r="A5" s="27" t="s">
        <v>55</v>
      </c>
      <c r="B5" s="23"/>
      <c r="C5" s="23"/>
      <c r="D5" s="23"/>
      <c r="E5" s="23"/>
      <c r="F5" s="13">
        <f>'Расчёт массы'!H12</f>
        <v>6.9974903999999984</v>
      </c>
    </row>
    <row r="6" spans="1:7">
      <c r="A6" s="27" t="s">
        <v>56</v>
      </c>
      <c r="B6" s="23"/>
      <c r="C6" s="23"/>
      <c r="D6" s="23"/>
      <c r="E6" s="23"/>
      <c r="F6" s="14">
        <v>78000</v>
      </c>
    </row>
    <row r="7" spans="1:7">
      <c r="A7" s="27" t="s">
        <v>57</v>
      </c>
      <c r="B7" s="23"/>
      <c r="C7" s="23"/>
      <c r="D7" s="23"/>
      <c r="E7" s="23"/>
      <c r="F7" s="14">
        <v>90000</v>
      </c>
    </row>
    <row r="8" spans="1:7">
      <c r="A8" s="27" t="s">
        <v>58</v>
      </c>
      <c r="B8" s="23"/>
      <c r="C8" s="23"/>
      <c r="D8" s="23"/>
      <c r="E8" s="23"/>
      <c r="F8" s="14">
        <v>45000</v>
      </c>
    </row>
    <row r="9" spans="1:7">
      <c r="A9" s="27" t="s">
        <v>59</v>
      </c>
      <c r="B9" s="23"/>
      <c r="C9" s="23"/>
      <c r="D9" s="23"/>
      <c r="E9" s="23"/>
      <c r="F9" s="15">
        <v>4</v>
      </c>
    </row>
    <row r="10" spans="1:7">
      <c r="A10" s="27" t="s">
        <v>60</v>
      </c>
      <c r="B10" s="23"/>
      <c r="C10" s="23"/>
      <c r="D10" s="23"/>
      <c r="E10" s="23"/>
      <c r="F10" s="14">
        <v>45000</v>
      </c>
    </row>
    <row r="11" spans="1:7">
      <c r="A11" s="27" t="s">
        <v>61</v>
      </c>
      <c r="B11" s="23"/>
      <c r="C11" s="23"/>
      <c r="D11" s="23"/>
      <c r="E11" s="23"/>
      <c r="F11" s="15">
        <v>95</v>
      </c>
    </row>
    <row r="12" spans="1:7">
      <c r="A12" s="27" t="s">
        <v>62</v>
      </c>
      <c r="B12" s="23"/>
      <c r="C12" s="23"/>
      <c r="D12" s="23"/>
      <c r="E12" s="23"/>
      <c r="F12" s="15">
        <v>70</v>
      </c>
    </row>
    <row r="13" spans="1:7">
      <c r="A13" s="27" t="s">
        <v>63</v>
      </c>
      <c r="B13" s="23"/>
      <c r="C13" s="23"/>
      <c r="D13" s="23"/>
      <c r="E13" s="23"/>
      <c r="F13" s="15">
        <v>35</v>
      </c>
    </row>
    <row r="14" spans="1:7">
      <c r="A14" s="27" t="s">
        <v>64</v>
      </c>
      <c r="B14" s="23"/>
      <c r="C14" s="23"/>
      <c r="D14" s="23"/>
      <c r="E14" s="23"/>
      <c r="F14" s="15">
        <v>22</v>
      </c>
    </row>
    <row r="15" spans="1:7">
      <c r="A15" s="27" t="s">
        <v>65</v>
      </c>
      <c r="B15" s="23"/>
      <c r="C15" s="23"/>
      <c r="D15" s="23"/>
      <c r="E15" s="23"/>
      <c r="F15" s="15">
        <v>7</v>
      </c>
    </row>
    <row r="17" spans="1:7">
      <c r="A17" s="26" t="s">
        <v>66</v>
      </c>
      <c r="B17" s="23"/>
      <c r="C17" s="23"/>
      <c r="D17" s="23"/>
      <c r="E17" s="23"/>
      <c r="F17" s="23"/>
      <c r="G17" s="23"/>
    </row>
    <row r="18" spans="1:7">
      <c r="A18" s="1" t="s">
        <v>30</v>
      </c>
      <c r="B18" s="1" t="s">
        <v>67</v>
      </c>
      <c r="C18" s="1" t="s">
        <v>68</v>
      </c>
      <c r="D18" s="1" t="s">
        <v>69</v>
      </c>
      <c r="E18" s="1" t="s">
        <v>70</v>
      </c>
      <c r="F18" s="1" t="s">
        <v>71</v>
      </c>
      <c r="G18" s="1" t="s">
        <v>72</v>
      </c>
    </row>
    <row r="19" spans="1:7">
      <c r="A19" s="3">
        <v>1</v>
      </c>
      <c r="B19" s="2" t="s">
        <v>73</v>
      </c>
      <c r="C19" s="2" t="s">
        <v>74</v>
      </c>
      <c r="D19" s="3" t="s">
        <v>75</v>
      </c>
      <c r="E19" s="3">
        <f>F5</f>
        <v>6.9974903999999984</v>
      </c>
      <c r="F19" s="16">
        <f>F6</f>
        <v>78000</v>
      </c>
      <c r="G19" s="16">
        <f>E19*F19</f>
        <v>545804.25119999982</v>
      </c>
    </row>
    <row r="20" spans="1:7">
      <c r="A20" s="5">
        <v>2</v>
      </c>
      <c r="B20" s="4" t="s">
        <v>76</v>
      </c>
      <c r="C20" s="4" t="s">
        <v>77</v>
      </c>
      <c r="D20" s="5" t="s">
        <v>75</v>
      </c>
      <c r="E20" s="5">
        <f>F5</f>
        <v>6.9974903999999984</v>
      </c>
      <c r="F20" s="17">
        <f>F7</f>
        <v>90000</v>
      </c>
      <c r="G20" s="17">
        <f>E20*F20</f>
        <v>629774.13599999982</v>
      </c>
    </row>
    <row r="21" spans="1:7">
      <c r="A21" s="3">
        <v>3</v>
      </c>
      <c r="B21" s="2" t="s">
        <v>78</v>
      </c>
      <c r="C21" s="2" t="s">
        <v>79</v>
      </c>
      <c r="D21" s="3" t="s">
        <v>75</v>
      </c>
      <c r="E21" s="3">
        <f>F5</f>
        <v>6.9974903999999984</v>
      </c>
      <c r="F21" s="16">
        <f>F8</f>
        <v>45000</v>
      </c>
      <c r="G21" s="16">
        <f>E21*F21</f>
        <v>314887.06799999991</v>
      </c>
    </row>
    <row r="22" spans="1:7" ht="30">
      <c r="A22" s="5">
        <v>4</v>
      </c>
      <c r="B22" s="4" t="s">
        <v>80</v>
      </c>
      <c r="C22" s="4" t="s">
        <v>81</v>
      </c>
      <c r="D22" s="5" t="s">
        <v>82</v>
      </c>
      <c r="E22" s="5">
        <f>F9</f>
        <v>4</v>
      </c>
      <c r="F22" s="5" t="s">
        <v>83</v>
      </c>
      <c r="G22" s="17">
        <f>(G19+G20)*E22/100</f>
        <v>47023.135487999993</v>
      </c>
    </row>
    <row r="23" spans="1:7">
      <c r="A23" s="3">
        <v>5</v>
      </c>
      <c r="B23" s="2" t="s">
        <v>84</v>
      </c>
      <c r="C23" s="2" t="s">
        <v>85</v>
      </c>
      <c r="D23" s="3" t="s">
        <v>83</v>
      </c>
      <c r="E23" s="3" t="s">
        <v>83</v>
      </c>
      <c r="F23" s="3" t="s">
        <v>83</v>
      </c>
      <c r="G23" s="16">
        <f>F10</f>
        <v>45000</v>
      </c>
    </row>
    <row r="24" spans="1:7">
      <c r="A24" s="5"/>
      <c r="B24" s="31" t="s">
        <v>86</v>
      </c>
      <c r="C24" s="27"/>
      <c r="D24" s="32"/>
      <c r="E24" s="32"/>
      <c r="F24" s="32"/>
      <c r="G24" s="18">
        <f>SUM(G19:G23)</f>
        <v>1582488.5906879997</v>
      </c>
    </row>
    <row r="25" spans="1:7">
      <c r="A25" s="3"/>
      <c r="B25" s="2" t="s">
        <v>87</v>
      </c>
      <c r="C25" s="2" t="s">
        <v>88</v>
      </c>
      <c r="D25" s="3"/>
      <c r="E25" s="3">
        <f>F13</f>
        <v>35</v>
      </c>
      <c r="F25" s="3"/>
      <c r="G25" s="16">
        <f>(G20+G21)*E25/100</f>
        <v>330631.42139999988</v>
      </c>
    </row>
    <row r="26" spans="1:7">
      <c r="A26" s="5">
        <v>6</v>
      </c>
      <c r="B26" s="4" t="s">
        <v>89</v>
      </c>
      <c r="C26" s="4" t="s">
        <v>90</v>
      </c>
      <c r="D26" s="5" t="s">
        <v>82</v>
      </c>
      <c r="E26" s="5">
        <f>F11</f>
        <v>95</v>
      </c>
      <c r="F26" s="5" t="s">
        <v>83</v>
      </c>
      <c r="G26" s="17">
        <f>G25*E26/100</f>
        <v>314099.85032999987</v>
      </c>
    </row>
    <row r="27" spans="1:7">
      <c r="A27" s="3">
        <v>7</v>
      </c>
      <c r="B27" s="2" t="s">
        <v>91</v>
      </c>
      <c r="C27" s="2" t="s">
        <v>90</v>
      </c>
      <c r="D27" s="3" t="s">
        <v>82</v>
      </c>
      <c r="E27" s="3">
        <f>F12</f>
        <v>70</v>
      </c>
      <c r="F27" s="3" t="s">
        <v>83</v>
      </c>
      <c r="G27" s="16">
        <f>G25*E27/100</f>
        <v>231441.99497999993</v>
      </c>
    </row>
    <row r="28" spans="1:7">
      <c r="A28" s="5">
        <v>8</v>
      </c>
      <c r="B28" s="4" t="s">
        <v>92</v>
      </c>
      <c r="C28" s="4" t="s">
        <v>93</v>
      </c>
      <c r="D28" s="5" t="s">
        <v>82</v>
      </c>
      <c r="E28" s="5">
        <f>F15</f>
        <v>7</v>
      </c>
      <c r="F28" s="5" t="s">
        <v>83</v>
      </c>
      <c r="G28" s="17">
        <f>G24*E28/100</f>
        <v>110774.20134815999</v>
      </c>
    </row>
    <row r="30" spans="1:7">
      <c r="B30" s="30" t="s">
        <v>94</v>
      </c>
      <c r="C30" s="23"/>
      <c r="D30" s="23"/>
      <c r="E30" s="23"/>
      <c r="F30" s="23"/>
      <c r="G30" s="19">
        <f>G24+G26+G27+G28</f>
        <v>2238804.6373461592</v>
      </c>
    </row>
    <row r="31" spans="1:7">
      <c r="B31" s="28" t="s">
        <v>95</v>
      </c>
      <c r="C31" s="23"/>
      <c r="D31" s="23"/>
      <c r="E31" s="23"/>
      <c r="F31" s="23"/>
      <c r="G31" s="20">
        <f>G30*F14/122</f>
        <v>403718.86902963527</v>
      </c>
    </row>
    <row r="32" spans="1:7" ht="17.25">
      <c r="B32" s="34" t="s">
        <v>96</v>
      </c>
      <c r="C32" s="23"/>
      <c r="D32" s="23"/>
      <c r="E32" s="23"/>
      <c r="F32" s="23"/>
      <c r="G32" s="21">
        <f>G30+G31</f>
        <v>2642523.5063757943</v>
      </c>
    </row>
  </sheetData>
  <mergeCells count="19">
    <mergeCell ref="B32:F32"/>
    <mergeCell ref="A9:E9"/>
    <mergeCell ref="A1:G1"/>
    <mergeCell ref="A5:E5"/>
    <mergeCell ref="A14:E14"/>
    <mergeCell ref="A8:E8"/>
    <mergeCell ref="B30:F30"/>
    <mergeCell ref="B24:F24"/>
    <mergeCell ref="A10:E10"/>
    <mergeCell ref="A2:G2"/>
    <mergeCell ref="A13:E13"/>
    <mergeCell ref="A17:G17"/>
    <mergeCell ref="A15:E15"/>
    <mergeCell ref="A4:G4"/>
    <mergeCell ref="A11:E11"/>
    <mergeCell ref="B31:F31"/>
    <mergeCell ref="A6:E6"/>
    <mergeCell ref="A7:E7"/>
    <mergeCell ref="A12:E1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1"/>
  <sheetViews>
    <sheetView showGridLines="0" workbookViewId="0">
      <selection sqref="A1:C1"/>
    </sheetView>
  </sheetViews>
  <sheetFormatPr defaultRowHeight="15"/>
  <cols>
    <col min="1" max="1" width="38" customWidth="1"/>
    <col min="2" max="2" width="22" customWidth="1"/>
    <col min="3" max="3" width="40" customWidth="1"/>
  </cols>
  <sheetData>
    <row r="1" spans="1:3" ht="18.75">
      <c r="A1" s="22" t="s">
        <v>97</v>
      </c>
      <c r="B1" s="23"/>
      <c r="C1" s="23"/>
    </row>
    <row r="3" spans="1:3">
      <c r="A3" s="1" t="s">
        <v>98</v>
      </c>
      <c r="B3" s="1" t="s">
        <v>99</v>
      </c>
      <c r="C3" s="1" t="s">
        <v>100</v>
      </c>
    </row>
    <row r="4" spans="1:3">
      <c r="A4" s="2" t="s">
        <v>101</v>
      </c>
      <c r="B4" s="2" t="s">
        <v>102</v>
      </c>
      <c r="C4" s="2" t="s">
        <v>103</v>
      </c>
    </row>
    <row r="5" spans="1:3" ht="30">
      <c r="A5" s="4" t="s">
        <v>104</v>
      </c>
      <c r="B5" s="4" t="s">
        <v>105</v>
      </c>
      <c r="C5" s="4" t="s">
        <v>106</v>
      </c>
    </row>
    <row r="6" spans="1:3" ht="30">
      <c r="A6" s="2" t="s">
        <v>107</v>
      </c>
      <c r="B6" s="2" t="s">
        <v>108</v>
      </c>
      <c r="C6" s="2" t="s">
        <v>109</v>
      </c>
    </row>
    <row r="7" spans="1:3">
      <c r="A7" s="4" t="s">
        <v>110</v>
      </c>
      <c r="B7" s="4" t="s">
        <v>111</v>
      </c>
      <c r="C7" s="4" t="s">
        <v>112</v>
      </c>
    </row>
    <row r="8" spans="1:3" ht="30">
      <c r="A8" s="2" t="s">
        <v>113</v>
      </c>
      <c r="B8" s="2" t="s">
        <v>114</v>
      </c>
      <c r="C8" s="2" t="s">
        <v>115</v>
      </c>
    </row>
    <row r="9" spans="1:3" ht="30">
      <c r="A9" s="4" t="s">
        <v>116</v>
      </c>
      <c r="B9" s="4" t="s">
        <v>117</v>
      </c>
      <c r="C9" s="4" t="s">
        <v>118</v>
      </c>
    </row>
    <row r="11" spans="1:3">
      <c r="A11" s="24" t="s">
        <v>119</v>
      </c>
      <c r="B11" s="23"/>
      <c r="C11" s="23"/>
    </row>
  </sheetData>
  <mergeCells count="2">
    <mergeCell ref="A1:C1"/>
    <mergeCell ref="A11:C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Сортамент</vt:lpstr>
      <vt:lpstr>Расчёт массы</vt:lpstr>
      <vt:lpstr>Смета</vt:lpstr>
      <vt:lpstr>Рыночные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WOW!PC</cp:lastModifiedBy>
  <dcterms:created xsi:type="dcterms:W3CDTF">2026-07-01T15:02:12Z</dcterms:created>
  <dcterms:modified xsi:type="dcterms:W3CDTF">2026-07-01T15:05:41Z</dcterms:modified>
</cp:coreProperties>
</file>